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N48231" sheetId="1" r:id="rId1"/>
    <sheet name="N4287Q" sheetId="2" r:id="rId2"/>
    <sheet name="N93KK" sheetId="3" r:id="rId3"/>
    <sheet name="N268BG" sheetId="4" r:id="rId4"/>
    <sheet name="N55804" sheetId="5" r:id="rId5"/>
  </sheets>
  <definedNames>
    <definedName name="fuel_arm" localSheetId="3">'N268BG'!$D$44</definedName>
    <definedName name="fuel_arm" localSheetId="1">'N4287Q'!$D$44</definedName>
    <definedName name="fuel_arm" localSheetId="0">'N48231'!$D$40</definedName>
    <definedName name="fuel_arm" localSheetId="4">'N55804'!$D$44</definedName>
    <definedName name="fuel_arm" localSheetId="2">'N93KK'!$D$44</definedName>
    <definedName name="fuel_arm">#REF!</definedName>
    <definedName name="fuel_inc" localSheetId="3">'N268BG'!$E$27</definedName>
    <definedName name="fuel_inc" localSheetId="1">'N4287Q'!$E$27</definedName>
    <definedName name="fuel_inc" localSheetId="0">'N48231'!$E$23</definedName>
    <definedName name="fuel_inc" localSheetId="4">'N55804'!$E$27</definedName>
    <definedName name="fuel_inc" localSheetId="2">'N93KK'!$E$27</definedName>
    <definedName name="maxgal" localSheetId="3">'N268BG'!$C$26</definedName>
    <definedName name="maxgal" localSheetId="1">'N4287Q'!$C$26</definedName>
    <definedName name="maxgal" localSheetId="0">'N48231'!$C$22</definedName>
    <definedName name="maxgal" localSheetId="4">'N55804'!$C$26</definedName>
    <definedName name="maxgal" localSheetId="2">'N93KK'!$C$26</definedName>
    <definedName name="maxgal">#REF!</definedName>
    <definedName name="ppg" localSheetId="3">'N268BG'!$C$28</definedName>
    <definedName name="ppg" localSheetId="1">'N4287Q'!$C$28</definedName>
    <definedName name="ppg" localSheetId="0">'N48231'!$C$24</definedName>
    <definedName name="ppg" localSheetId="4">'N55804'!$C$28</definedName>
    <definedName name="ppg" localSheetId="2">'N93KK'!$C$28</definedName>
    <definedName name="ppg">#REF!</definedName>
    <definedName name="unusable" localSheetId="3">'N268BG'!$C$27</definedName>
    <definedName name="unusable" localSheetId="1">'N4287Q'!$C$27</definedName>
    <definedName name="unusable" localSheetId="0">'N48231'!$C$23</definedName>
    <definedName name="unusable" localSheetId="4">'N55804'!$C$27</definedName>
    <definedName name="unusable" localSheetId="2">'N93KK'!$C$27</definedName>
    <definedName name="zfmom" localSheetId="3">'N268BG'!$E$48</definedName>
    <definedName name="zfmom" localSheetId="1">'N4287Q'!$E$48</definedName>
    <definedName name="zfmom" localSheetId="0">'N48231'!$E$45</definedName>
    <definedName name="zfmom" localSheetId="4">'N55804'!$E$48</definedName>
    <definedName name="zfmom" localSheetId="2">'N93KK'!$E$48</definedName>
    <definedName name="zfmom">#REF!</definedName>
    <definedName name="zfwgt" localSheetId="3">'N268BG'!$C$48</definedName>
    <definedName name="zfwgt" localSheetId="1">'N4287Q'!$C$48</definedName>
    <definedName name="zfwgt" localSheetId="0">'N48231'!$C$45</definedName>
    <definedName name="zfwgt" localSheetId="4">'N55804'!$C$48</definedName>
    <definedName name="zfwgt" localSheetId="2">'N93KK'!$C$48</definedName>
    <definedName name="zfwgt">#REF!</definedName>
  </definedNames>
  <calcPr fullCalcOnLoad="1"/>
</workbook>
</file>

<file path=xl/sharedStrings.xml><?xml version="1.0" encoding="utf-8"?>
<sst xmlns="http://schemas.openxmlformats.org/spreadsheetml/2006/main" count="149" uniqueCount="48">
  <si>
    <t>weight</t>
  </si>
  <si>
    <t>arm</t>
  </si>
  <si>
    <t>envelope</t>
  </si>
  <si>
    <t>coordinates</t>
  </si>
  <si>
    <t>fuel level</t>
  </si>
  <si>
    <t>initial</t>
  </si>
  <si>
    <t>only unusable</t>
  </si>
  <si>
    <t>max fuel</t>
  </si>
  <si>
    <t>unusable</t>
  </si>
  <si>
    <t>max includes unusable?</t>
  </si>
  <si>
    <t>pounds per gallon (avgas)</t>
  </si>
  <si>
    <t>Weight</t>
  </si>
  <si>
    <t>Arm</t>
  </si>
  <si>
    <t>Moment</t>
  </si>
  <si>
    <t>Licensed Empty Weight</t>
  </si>
  <si>
    <t>Without unusable fuel</t>
  </si>
  <si>
    <t>Front Seats / lb</t>
  </si>
  <si>
    <t>Baggage #1 / lb</t>
  </si>
  <si>
    <t>Baggage #2 / lb</t>
  </si>
  <si>
    <t>Fuel / gal (26 max)</t>
  </si>
  <si>
    <t xml:space="preserve"> INITIAL </t>
  </si>
  <si>
    <t xml:space="preserve"> ZERO FUEL </t>
  </si>
  <si>
    <t>lb/gal (avgas)</t>
  </si>
  <si>
    <t>Envelope</t>
  </si>
  <si>
    <t>Coordinates</t>
  </si>
  <si>
    <t>Rear Seats / lb</t>
  </si>
  <si>
    <t>Baggage Area 1 / lb</t>
  </si>
  <si>
    <t>Baggage Area 2 / lb</t>
  </si>
  <si>
    <t>Fuel / gal (40 max)</t>
  </si>
  <si>
    <t xml:space="preserve"> INITIAL</t>
  </si>
  <si>
    <t xml:space="preserve"> ZERO FUEL</t>
  </si>
  <si>
    <t>Warning:  Use according to instructions.  Misuse could create a hazard.</t>
  </si>
  <si>
    <t>Instructions:  First calculate weight and balance according to procedures in your operating handbook.</t>
  </si>
  <si>
    <t xml:space="preserve">Then fill in the fields of this form with information appropriate to your aircraft.  </t>
  </si>
  <si>
    <t>Check to see if this form helps confirm and visualize the results of your calculation.</t>
  </si>
  <si>
    <t>All fuel numbers measured relative to absolute zero, not zero usable.</t>
  </si>
  <si>
    <t>Oil (included)</t>
  </si>
  <si>
    <t>Baggage / lb</t>
  </si>
  <si>
    <t>Fuel / gal (50 max)</t>
  </si>
  <si>
    <t>per a/c docs:</t>
  </si>
  <si>
    <t>Quantity</t>
  </si>
  <si>
    <t>Gross Weight</t>
  </si>
  <si>
    <t>Usefull Load</t>
  </si>
  <si>
    <t>{34981.9}</t>
  </si>
  <si>
    <t>{129882.0}</t>
  </si>
  <si>
    <t>{136242.7}</t>
  </si>
  <si>
    <t>{54158.3}</t>
  </si>
  <si>
    <t>{57087.86}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</si>
</sst>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[$-409]dddd\,\ mmmm\ dd\,\ yyyy"/>
    <numFmt numFmtId="167" formatCode="m/d/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Alignment="1" quotePrefix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12"/>
          <c:w val="0.967"/>
          <c:h val="0.96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plus"/>
              <c:size val="5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marker>
              <c:symbol val="auto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'N48231'!$D$3:$D$18</c:f>
              <c:numCache/>
            </c:numRef>
          </c:xVal>
          <c:yVal>
            <c:numRef>
              <c:f>'N48231'!$C$3:$C$18</c:f>
              <c:numCache/>
            </c:numRef>
          </c:yVal>
          <c:smooth val="0"/>
        </c:ser>
        <c:axId val="8472951"/>
        <c:axId val="9147696"/>
      </c:scatterChart>
      <c:valAx>
        <c:axId val="8472951"/>
        <c:scaling>
          <c:orientation val="minMax"/>
          <c:max val="38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CG LOCATION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9147696"/>
        <c:crosses val="autoZero"/>
        <c:crossBetween val="midCat"/>
        <c:dispUnits/>
      </c:valAx>
      <c:valAx>
        <c:axId val="9147696"/>
        <c:scaling>
          <c:orientation val="minMax"/>
          <c:max val="18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At val="30"/>
        <c:crossBetween val="midCat"/>
        <c:dispUnits/>
        <c:majorUnit val="100"/>
        <c:minorUnit val="2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275"/>
          <c:w val="0.96875"/>
          <c:h val="0.96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auto"/>
            </c:marker>
          </c:dPt>
          <c:dPt>
            <c:idx val="8"/>
            <c:marker>
              <c:symbol val="auto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marker>
              <c:symbol val="plus"/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'N4287Q'!$D$3:$D$22</c:f>
              <c:numCache/>
            </c:numRef>
          </c:xVal>
          <c:yVal>
            <c:numRef>
              <c:f>'N4287Q'!$C$3:$C$22</c:f>
              <c:numCache/>
            </c:numRef>
          </c:yVal>
          <c:smooth val="0"/>
        </c:ser>
        <c:axId val="15220401"/>
        <c:axId val="2765882"/>
      </c:scatterChart>
      <c:valAx>
        <c:axId val="15220401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CG LOCATION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2765882"/>
        <c:crosses val="autoZero"/>
        <c:crossBetween val="midCat"/>
        <c:dispUnits/>
      </c:valAx>
      <c:valAx>
        <c:axId val="2765882"/>
        <c:scaling>
          <c:orientation val="minMax"/>
          <c:max val="24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275"/>
          <c:w val="0.969"/>
          <c:h val="0.96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auto"/>
            </c:marker>
          </c:dPt>
          <c:dPt>
            <c:idx val="8"/>
            <c:marker>
              <c:symbol val="auto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marker>
              <c:symbol val="plus"/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'N93KK'!$D$3:$D$22</c:f>
              <c:numCache/>
            </c:numRef>
          </c:xVal>
          <c:yVal>
            <c:numRef>
              <c:f>'N93KK'!$C$3:$C$22</c:f>
              <c:numCache/>
            </c:numRef>
          </c:yVal>
          <c:smooth val="0"/>
        </c:ser>
        <c:axId val="24892939"/>
        <c:axId val="22709860"/>
      </c:scatterChart>
      <c:valAx>
        <c:axId val="24892939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CG LOCATION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22709860"/>
        <c:crosses val="autoZero"/>
        <c:crossBetween val="midCat"/>
        <c:dispUnits/>
      </c:valAx>
      <c:valAx>
        <c:axId val="22709860"/>
        <c:scaling>
          <c:orientation val="minMax"/>
          <c:max val="24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475"/>
          <c:w val="0.97725"/>
          <c:h val="0.96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auto"/>
            </c:marker>
          </c:dPt>
          <c:dPt>
            <c:idx val="8"/>
            <c:marker>
              <c:symbol val="auto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marker>
              <c:symbol val="plus"/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'N268BG'!$D$3:$D$22</c:f>
              <c:numCache/>
            </c:numRef>
          </c:xVal>
          <c:yVal>
            <c:numRef>
              <c:f>'N268BG'!$C$3:$C$22</c:f>
              <c:numCache/>
            </c:numRef>
          </c:yVal>
          <c:smooth val="0"/>
        </c:ser>
        <c:axId val="3062149"/>
        <c:axId val="27559342"/>
      </c:scatterChart>
      <c:valAx>
        <c:axId val="3062149"/>
        <c:scaling>
          <c:orientation val="minMax"/>
          <c:max val="9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CG LOCATION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27559342"/>
        <c:crosses val="autoZero"/>
        <c:crossBetween val="midCat"/>
        <c:dispUnits/>
      </c:valAx>
      <c:valAx>
        <c:axId val="27559342"/>
        <c:scaling>
          <c:orientation val="minMax"/>
          <c:max val="2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475"/>
          <c:w val="0.977"/>
          <c:h val="0.96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auto"/>
            </c:marker>
          </c:dPt>
          <c:dPt>
            <c:idx val="8"/>
            <c:marker>
              <c:symbol val="auto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marker>
              <c:symbol val="plus"/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'N55804'!$D$3:$D$22</c:f>
              <c:numCache/>
            </c:numRef>
          </c:xVal>
          <c:yVal>
            <c:numRef>
              <c:f>'N55804'!$C$3:$C$22</c:f>
              <c:numCache/>
            </c:numRef>
          </c:yVal>
          <c:smooth val="0"/>
        </c:ser>
        <c:axId val="46707487"/>
        <c:axId val="17714200"/>
      </c:scatterChart>
      <c:valAx>
        <c:axId val="46707487"/>
        <c:scaling>
          <c:orientation val="minMax"/>
          <c:max val="9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CG LOCATION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17714200"/>
        <c:crosses val="autoZero"/>
        <c:crossBetween val="midCat"/>
        <c:dispUnits/>
      </c:valAx>
      <c:valAx>
        <c:axId val="17714200"/>
        <c:scaling>
          <c:orientation val="minMax"/>
          <c:max val="2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152400</xdr:rowOff>
    </xdr:from>
    <xdr:to>
      <xdr:col>6</xdr:col>
      <xdr:colOff>0</xdr:colOff>
      <xdr:row>48</xdr:row>
      <xdr:rowOff>152400</xdr:rowOff>
    </xdr:to>
    <xdr:sp>
      <xdr:nvSpPr>
        <xdr:cNvPr id="1" name="Line 3"/>
        <xdr:cNvSpPr>
          <a:spLocks/>
        </xdr:cNvSpPr>
      </xdr:nvSpPr>
      <xdr:spPr>
        <a:xfrm flipH="1" flipV="1">
          <a:off x="4391025" y="7791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4391025" y="64770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6</xdr:col>
      <xdr:colOff>400050</xdr:colOff>
      <xdr:row>30</xdr:row>
      <xdr:rowOff>76200</xdr:rowOff>
    </xdr:to>
    <xdr:graphicFrame macro="[0]!Chart7_Click">
      <xdr:nvGraphicFramePr>
        <xdr:cNvPr id="3" name="Chart 7"/>
        <xdr:cNvGraphicFramePr/>
      </xdr:nvGraphicFramePr>
      <xdr:xfrm>
        <a:off x="95250" y="76200"/>
        <a:ext cx="46958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152400</xdr:rowOff>
    </xdr:from>
    <xdr:to>
      <xdr:col>6</xdr:col>
      <xdr:colOff>0</xdr:colOff>
      <xdr:row>51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4371975" y="8267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0</xdr:colOff>
      <xdr:row>43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371975" y="6953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6</xdr:col>
      <xdr:colOff>428625</xdr:colOff>
      <xdr:row>33</xdr:row>
      <xdr:rowOff>95250</xdr:rowOff>
    </xdr:to>
    <xdr:graphicFrame macro="[0]!Chart7_Click">
      <xdr:nvGraphicFramePr>
        <xdr:cNvPr id="3" name="Chart 3"/>
        <xdr:cNvGraphicFramePr/>
      </xdr:nvGraphicFramePr>
      <xdr:xfrm>
        <a:off x="123825" y="57150"/>
        <a:ext cx="46767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152400</xdr:rowOff>
    </xdr:from>
    <xdr:to>
      <xdr:col>6</xdr:col>
      <xdr:colOff>0</xdr:colOff>
      <xdr:row>51</xdr:row>
      <xdr:rowOff>152400</xdr:rowOff>
    </xdr:to>
    <xdr:sp>
      <xdr:nvSpPr>
        <xdr:cNvPr id="1" name="Line 3"/>
        <xdr:cNvSpPr>
          <a:spLocks/>
        </xdr:cNvSpPr>
      </xdr:nvSpPr>
      <xdr:spPr>
        <a:xfrm flipH="1" flipV="1">
          <a:off x="4391025" y="8267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0</xdr:colOff>
      <xdr:row>43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4391025" y="6953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6</xdr:col>
      <xdr:colOff>428625</xdr:colOff>
      <xdr:row>33</xdr:row>
      <xdr:rowOff>95250</xdr:rowOff>
    </xdr:to>
    <xdr:graphicFrame macro="[0]!Chart7_Click">
      <xdr:nvGraphicFramePr>
        <xdr:cNvPr id="3" name="Chart 7"/>
        <xdr:cNvGraphicFramePr/>
      </xdr:nvGraphicFramePr>
      <xdr:xfrm>
        <a:off x="123825" y="57150"/>
        <a:ext cx="46958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152400</xdr:rowOff>
    </xdr:from>
    <xdr:to>
      <xdr:col>6</xdr:col>
      <xdr:colOff>0</xdr:colOff>
      <xdr:row>51</xdr:row>
      <xdr:rowOff>152400</xdr:rowOff>
    </xdr:to>
    <xdr:sp>
      <xdr:nvSpPr>
        <xdr:cNvPr id="1" name="Line 3"/>
        <xdr:cNvSpPr>
          <a:spLocks/>
        </xdr:cNvSpPr>
      </xdr:nvSpPr>
      <xdr:spPr>
        <a:xfrm flipH="1" flipV="1">
          <a:off x="4514850" y="8096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0</xdr:colOff>
      <xdr:row>43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4514850" y="678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66675</xdr:rowOff>
    </xdr:from>
    <xdr:to>
      <xdr:col>6</xdr:col>
      <xdr:colOff>514350</xdr:colOff>
      <xdr:row>33</xdr:row>
      <xdr:rowOff>104775</xdr:rowOff>
    </xdr:to>
    <xdr:graphicFrame macro="[0]!Chart7_Click">
      <xdr:nvGraphicFramePr>
        <xdr:cNvPr id="3" name="Chart 7"/>
        <xdr:cNvGraphicFramePr/>
      </xdr:nvGraphicFramePr>
      <xdr:xfrm>
        <a:off x="219075" y="66675"/>
        <a:ext cx="48101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51</xdr:row>
      <xdr:rowOff>152400</xdr:rowOff>
    </xdr:from>
    <xdr:to>
      <xdr:col>6</xdr:col>
      <xdr:colOff>0</xdr:colOff>
      <xdr:row>51</xdr:row>
      <xdr:rowOff>152400</xdr:rowOff>
    </xdr:to>
    <xdr:sp>
      <xdr:nvSpPr>
        <xdr:cNvPr id="1" name="Line 3"/>
        <xdr:cNvSpPr>
          <a:spLocks/>
        </xdr:cNvSpPr>
      </xdr:nvSpPr>
      <xdr:spPr>
        <a:xfrm flipH="1" flipV="1">
          <a:off x="4448175" y="8124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0</xdr:colOff>
      <xdr:row>43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4448175" y="6810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9525</xdr:rowOff>
    </xdr:from>
    <xdr:to>
      <xdr:col>6</xdr:col>
      <xdr:colOff>523875</xdr:colOff>
      <xdr:row>33</xdr:row>
      <xdr:rowOff>47625</xdr:rowOff>
    </xdr:to>
    <xdr:graphicFrame macro="[0]!Chart7_Click">
      <xdr:nvGraphicFramePr>
        <xdr:cNvPr id="3" name="Chart 7"/>
        <xdr:cNvGraphicFramePr/>
      </xdr:nvGraphicFramePr>
      <xdr:xfrm>
        <a:off x="228600" y="9525"/>
        <a:ext cx="47434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5">
      <selection activeCell="C36" sqref="C36"/>
    </sheetView>
  </sheetViews>
  <sheetFormatPr defaultColWidth="9.140625" defaultRowHeight="12.75"/>
  <cols>
    <col min="1" max="1" width="18.7109375" style="1" customWidth="1"/>
    <col min="2" max="5" width="9.28125" style="1" bestFit="1" customWidth="1"/>
    <col min="6" max="6" width="10.00390625" style="0" customWidth="1"/>
    <col min="7" max="7" width="9.7109375" style="0" bestFit="1" customWidth="1"/>
  </cols>
  <sheetData>
    <row r="1" spans="2:5" ht="12.75">
      <c r="B1"/>
      <c r="C1"/>
      <c r="D1"/>
      <c r="E1"/>
    </row>
    <row r="2" spans="2:5" ht="12.75">
      <c r="B2"/>
      <c r="C2" t="s">
        <v>0</v>
      </c>
      <c r="D2" t="s">
        <v>1</v>
      </c>
      <c r="E2"/>
    </row>
    <row r="3" spans="1:5" ht="12.75">
      <c r="A3" s="17" t="s">
        <v>2</v>
      </c>
      <c r="B3"/>
      <c r="C3">
        <v>1000</v>
      </c>
      <c r="D3" s="21">
        <v>31</v>
      </c>
      <c r="E3"/>
    </row>
    <row r="4" spans="1:5" ht="12.75">
      <c r="A4" s="17" t="s">
        <v>3</v>
      </c>
      <c r="B4"/>
      <c r="C4">
        <v>1350</v>
      </c>
      <c r="D4" s="21">
        <v>31</v>
      </c>
      <c r="E4"/>
    </row>
    <row r="5" spans="1:5" ht="12.75">
      <c r="A5" s="17"/>
      <c r="B5"/>
      <c r="C5">
        <v>1670</v>
      </c>
      <c r="D5" s="21">
        <v>32.6</v>
      </c>
      <c r="E5"/>
    </row>
    <row r="6" spans="1:5" ht="12.75">
      <c r="A6" s="18"/>
      <c r="B6" s="8"/>
      <c r="C6">
        <v>1670</v>
      </c>
      <c r="D6" s="21">
        <v>36.5</v>
      </c>
      <c r="E6" s="8"/>
    </row>
    <row r="7" spans="1:5" ht="12.75">
      <c r="A7" s="17"/>
      <c r="B7" s="8"/>
      <c r="C7">
        <v>1000</v>
      </c>
      <c r="D7" s="21">
        <v>36.5</v>
      </c>
      <c r="E7" s="8"/>
    </row>
    <row r="8" spans="1:5" ht="12.75">
      <c r="A8" s="17"/>
      <c r="B8" s="8"/>
      <c r="C8">
        <v>1000</v>
      </c>
      <c r="D8" s="21">
        <v>31</v>
      </c>
      <c r="E8" s="8"/>
    </row>
    <row r="9" spans="2:5" ht="12.75">
      <c r="B9" s="8"/>
      <c r="C9" s="8"/>
      <c r="D9" s="8"/>
      <c r="E9" s="8"/>
    </row>
    <row r="10" spans="1:5" ht="12.75">
      <c r="A10" s="17" t="s">
        <v>4</v>
      </c>
      <c r="B10" s="14">
        <v>1</v>
      </c>
      <c r="C10" s="9">
        <f>zfwgt+maxgal*ppg</f>
        <v>1661.9</v>
      </c>
      <c r="D10" s="9">
        <f>E10/C10</f>
        <v>32.912034418436726</v>
      </c>
      <c r="E10" s="8">
        <f>zfmom+maxgal*ppg*fuel_arm</f>
        <v>54696.509999999995</v>
      </c>
    </row>
    <row r="11" spans="1:5" ht="12.75">
      <c r="A11" s="17"/>
      <c r="B11" s="14"/>
      <c r="C11" s="8"/>
      <c r="D11" s="8"/>
      <c r="E11" s="8"/>
    </row>
    <row r="12" spans="1:5" ht="12.75">
      <c r="A12" s="17"/>
      <c r="B12" s="14" t="s">
        <v>5</v>
      </c>
      <c r="C12" s="9">
        <f>C44</f>
        <v>1661.9</v>
      </c>
      <c r="D12" s="9">
        <f>E12/C12</f>
        <v>32.912034418436726</v>
      </c>
      <c r="E12" s="8">
        <f>E44</f>
        <v>54696.509999999995</v>
      </c>
    </row>
    <row r="13" spans="1:5" ht="12.75">
      <c r="A13" s="17"/>
      <c r="B13" s="15">
        <v>0.75</v>
      </c>
      <c r="C13" s="8">
        <f>MIN(C12,zfwgt+maxgal*ppg*B13)</f>
        <v>1622.9</v>
      </c>
      <c r="D13" s="8">
        <f>E13/C13</f>
        <v>32.68883480189783</v>
      </c>
      <c r="E13" s="8">
        <f>MIN(E12,zfmom+maxgal*ppg*fuel_arm*B13)</f>
        <v>53050.71</v>
      </c>
    </row>
    <row r="14" spans="1:5" ht="12.75">
      <c r="A14" s="17"/>
      <c r="B14" s="15">
        <v>0.5</v>
      </c>
      <c r="C14" s="8">
        <f>MIN(C13,zfwgt+maxgal*ppg*B14)</f>
        <v>1583.9</v>
      </c>
      <c r="D14" s="8">
        <f>E14/C14</f>
        <v>32.45464360123745</v>
      </c>
      <c r="E14" s="8">
        <f>MIN(E13,zfmom+maxgal*ppg*fuel_arm*B14)</f>
        <v>51404.909999999996</v>
      </c>
    </row>
    <row r="15" spans="1:5" ht="12.75">
      <c r="A15" s="18"/>
      <c r="B15" s="15">
        <v>0.25</v>
      </c>
      <c r="C15" s="8">
        <f>MIN(C14,zfwgt+maxgal*ppg*B15)</f>
        <v>1544.9</v>
      </c>
      <c r="D15" s="8">
        <f>E15/C15</f>
        <v>32.208628390187066</v>
      </c>
      <c r="E15" s="8">
        <f>MIN(E14,zfmom+maxgal*ppg*fuel_arm*B15)</f>
        <v>49759.11</v>
      </c>
    </row>
    <row r="16" spans="1:5" ht="12.75">
      <c r="A16" s="18"/>
      <c r="B16" s="14" t="s">
        <v>6</v>
      </c>
      <c r="C16" s="8">
        <f>zfwgt+unusable*ppg</f>
        <v>1514.9</v>
      </c>
      <c r="D16" s="8">
        <f>E16/C16</f>
        <v>32.01076638722028</v>
      </c>
      <c r="E16" s="8">
        <f>zfmom+unusable*fuel_arm*ppg</f>
        <v>48493.11</v>
      </c>
    </row>
    <row r="17" spans="1:5" ht="12.75">
      <c r="A17" s="18"/>
      <c r="B17" s="14"/>
      <c r="C17" s="8"/>
      <c r="D17" s="8"/>
      <c r="E17" s="8"/>
    </row>
    <row r="18" spans="1:5" ht="12.75">
      <c r="A18" s="18"/>
      <c r="B18" s="16">
        <v>0</v>
      </c>
      <c r="C18">
        <f>zfwgt+maxgal*ppg*B18</f>
        <v>1505.9</v>
      </c>
      <c r="D18">
        <f>E18/C18</f>
        <v>31.949870509329966</v>
      </c>
      <c r="E18">
        <f>zfmom+maxgal*ppg*fuel_arm*B18</f>
        <v>48113.31</v>
      </c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 t="s">
        <v>7</v>
      </c>
      <c r="C22">
        <v>26</v>
      </c>
      <c r="D22"/>
      <c r="E22"/>
    </row>
    <row r="23" spans="1:5" ht="12.75">
      <c r="A23"/>
      <c r="B23" t="s">
        <v>8</v>
      </c>
      <c r="C23">
        <v>1.5</v>
      </c>
      <c r="D23" t="s">
        <v>9</v>
      </c>
      <c r="E23">
        <v>1</v>
      </c>
    </row>
    <row r="24" spans="1:5" ht="12.75">
      <c r="A24"/>
      <c r="B24" t="s">
        <v>10</v>
      </c>
      <c r="C24">
        <v>6</v>
      </c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31" spans="1:4" ht="12.75">
      <c r="A31" s="3"/>
      <c r="D31"/>
    </row>
    <row r="32" spans="1:4" ht="12.75">
      <c r="A32" s="3"/>
      <c r="D32"/>
    </row>
    <row r="33" spans="2:5" ht="12.75" customHeight="1">
      <c r="B33" s="1" t="s">
        <v>40</v>
      </c>
      <c r="C33" s="1" t="s">
        <v>11</v>
      </c>
      <c r="D33" s="1" t="s">
        <v>12</v>
      </c>
      <c r="E33" s="1" t="s">
        <v>13</v>
      </c>
    </row>
    <row r="34" spans="5:7" ht="12" customHeight="1">
      <c r="E34" s="1" t="s">
        <v>43</v>
      </c>
      <c r="G34" s="25" t="s">
        <v>39</v>
      </c>
    </row>
    <row r="35" spans="1:7" ht="12.75">
      <c r="A35" s="22" t="s">
        <v>14</v>
      </c>
      <c r="C35" s="2">
        <v>1168.9</v>
      </c>
      <c r="D35" s="19">
        <v>29.9</v>
      </c>
      <c r="E35" s="1">
        <f>C35*D35</f>
        <v>34950.11</v>
      </c>
      <c r="F35" s="25"/>
      <c r="G35" s="26">
        <v>38744</v>
      </c>
    </row>
    <row r="36" spans="1:7" ht="12.75">
      <c r="A36" s="1" t="s">
        <v>15</v>
      </c>
      <c r="C36" s="2">
        <f>C35-IF(J10,unusable*ppg,0)</f>
        <v>1168.9</v>
      </c>
      <c r="D36" s="19"/>
      <c r="G36" s="20"/>
    </row>
    <row r="37" spans="1:5" ht="12.75">
      <c r="A37" s="1" t="s">
        <v>16</v>
      </c>
      <c r="C37" s="4">
        <v>325</v>
      </c>
      <c r="D37" s="19">
        <v>39</v>
      </c>
      <c r="E37" s="1">
        <f>C37*D37</f>
        <v>12675</v>
      </c>
    </row>
    <row r="38" spans="1:10" ht="12.75">
      <c r="A38" s="1" t="s">
        <v>17</v>
      </c>
      <c r="C38" s="4">
        <v>7</v>
      </c>
      <c r="D38" s="19">
        <v>64</v>
      </c>
      <c r="E38" s="1">
        <f>C38*D38</f>
        <v>448</v>
      </c>
      <c r="I38" s="4"/>
      <c r="J38" s="6"/>
    </row>
    <row r="39" spans="1:5" ht="12.75">
      <c r="A39" s="1" t="s">
        <v>18</v>
      </c>
      <c r="C39" s="4">
        <v>5</v>
      </c>
      <c r="D39" s="19">
        <v>84</v>
      </c>
      <c r="E39" s="1">
        <f>C39*D39</f>
        <v>420</v>
      </c>
    </row>
    <row r="40" spans="1:5" ht="12.75">
      <c r="A40" s="1" t="s">
        <v>19</v>
      </c>
      <c r="B40" s="5">
        <v>26</v>
      </c>
      <c r="C40" s="2">
        <f>B40*ppg</f>
        <v>156</v>
      </c>
      <c r="D40" s="19">
        <v>42.2</v>
      </c>
      <c r="E40" s="1">
        <f>C40*D40</f>
        <v>6583.200000000001</v>
      </c>
    </row>
    <row r="41" spans="2:4" ht="12.75">
      <c r="B41" s="5"/>
      <c r="C41" s="2"/>
      <c r="D41" s="19"/>
    </row>
    <row r="42" spans="1:5" ht="12.75">
      <c r="A42"/>
      <c r="B42"/>
      <c r="C42"/>
      <c r="D42" s="13"/>
      <c r="E42"/>
    </row>
    <row r="43" spans="3:4" ht="3" customHeight="1">
      <c r="C43" s="2"/>
      <c r="D43" s="19"/>
    </row>
    <row r="44" spans="1:5" ht="12.75">
      <c r="A44" s="1" t="s">
        <v>20</v>
      </c>
      <c r="C44" s="2">
        <f>SUM(C36:C42)</f>
        <v>1661.9</v>
      </c>
      <c r="D44" s="19">
        <f>E44/C44</f>
        <v>32.912034418436726</v>
      </c>
      <c r="E44" s="1">
        <f>SUM(E35:E42)-IF(fuel_inc,unusable*ppg*fuel_arm,0)</f>
        <v>54696.509999999995</v>
      </c>
    </row>
    <row r="45" spans="1:5" ht="12.75">
      <c r="A45" s="1" t="s">
        <v>21</v>
      </c>
      <c r="C45" s="2">
        <f>C44-C40</f>
        <v>1505.9</v>
      </c>
      <c r="D45" s="19">
        <f>E45/C45</f>
        <v>31.949870509329966</v>
      </c>
      <c r="E45" s="1">
        <f>E44-E40</f>
        <v>48113.31</v>
      </c>
    </row>
    <row r="46" spans="1:5" ht="12.75">
      <c r="A46" s="1" t="s">
        <v>41</v>
      </c>
      <c r="B46"/>
      <c r="C46" s="21">
        <v>1670</v>
      </c>
      <c r="D46"/>
      <c r="E46"/>
    </row>
    <row r="47" spans="1:3" ht="12.75">
      <c r="A47" s="1" t="s">
        <v>42</v>
      </c>
      <c r="C47" s="1">
        <v>501.1</v>
      </c>
    </row>
    <row r="48" ht="12.75">
      <c r="A48" s="23" t="str">
        <f>'N93KK'!A51</f>
        <v>Warning:  Use according to instructions.  Misuse could create a hazard.</v>
      </c>
    </row>
    <row r="49" ht="12.75">
      <c r="A49" s="23" t="str">
        <f>'N93KK'!A52</f>
        <v>Instructions:  First calculate weight and balance according to procedures in your operating handbook.</v>
      </c>
    </row>
    <row r="50" ht="12.75">
      <c r="A50" s="23" t="str">
        <f>'N93KK'!A53</f>
        <v>Then fill in the fields of this form with information appropriate to your aircraft.  </v>
      </c>
    </row>
    <row r="51" ht="12.75">
      <c r="A51" s="23" t="str">
        <f>'N93KK'!A54</f>
        <v>Check to see if this form helps confirm and visualize the results of your calculation.</v>
      </c>
    </row>
    <row r="52" ht="12.75">
      <c r="A52" s="22" t="str">
        <f>'N93KK'!A55</f>
        <v>All fuel numbers measured relative to absolute zero, not zero usable.</v>
      </c>
    </row>
  </sheetData>
  <printOptions/>
  <pageMargins left="1.12" right="0.5" top="0.76" bottom="0.74" header="0.39" footer="0.46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8">
      <selection activeCell="C41" sqref="C41"/>
    </sheetView>
  </sheetViews>
  <sheetFormatPr defaultColWidth="9.140625" defaultRowHeight="12.75"/>
  <cols>
    <col min="1" max="1" width="18.7109375" style="1" customWidth="1"/>
    <col min="2" max="5" width="9.140625" style="1" customWidth="1"/>
    <col min="6" max="6" width="10.28125" style="0" customWidth="1"/>
  </cols>
  <sheetData>
    <row r="1" spans="2:5" ht="12.75">
      <c r="B1"/>
      <c r="C1"/>
      <c r="D1"/>
      <c r="E1"/>
    </row>
    <row r="2" spans="2:5" ht="12.75">
      <c r="B2"/>
      <c r="C2" t="s">
        <v>0</v>
      </c>
      <c r="D2" t="s">
        <v>1</v>
      </c>
      <c r="E2"/>
    </row>
    <row r="3" spans="1:5" ht="12.75">
      <c r="A3" s="17" t="s">
        <v>23</v>
      </c>
      <c r="B3"/>
      <c r="C3">
        <v>1500</v>
      </c>
      <c r="D3" s="13">
        <v>35</v>
      </c>
      <c r="E3"/>
    </row>
    <row r="4" spans="1:5" ht="12.75">
      <c r="A4" s="17" t="s">
        <v>24</v>
      </c>
      <c r="B4"/>
      <c r="C4">
        <v>1950</v>
      </c>
      <c r="D4" s="13">
        <v>35</v>
      </c>
      <c r="E4"/>
    </row>
    <row r="5" spans="1:5" ht="12.75">
      <c r="A5" s="17"/>
      <c r="B5"/>
      <c r="C5">
        <v>2300</v>
      </c>
      <c r="D5" s="13">
        <v>38.5</v>
      </c>
      <c r="E5"/>
    </row>
    <row r="6" spans="1:5" ht="12.75">
      <c r="A6" s="18"/>
      <c r="B6" s="8"/>
      <c r="C6">
        <v>2300</v>
      </c>
      <c r="D6" s="13">
        <v>47.3</v>
      </c>
      <c r="E6"/>
    </row>
    <row r="7" spans="1:5" ht="12.75">
      <c r="A7" s="17"/>
      <c r="B7" s="8"/>
      <c r="C7">
        <v>1500</v>
      </c>
      <c r="D7" s="13">
        <v>47.3</v>
      </c>
      <c r="E7"/>
    </row>
    <row r="8" spans="1:5" ht="12.75">
      <c r="A8" s="17"/>
      <c r="B8" s="8"/>
      <c r="C8">
        <v>1500</v>
      </c>
      <c r="D8" s="13">
        <v>35</v>
      </c>
      <c r="E8"/>
    </row>
    <row r="9" spans="1:5" ht="12.75">
      <c r="A9" s="17"/>
      <c r="B9" s="8"/>
      <c r="C9"/>
      <c r="D9" s="13"/>
      <c r="E9"/>
    </row>
    <row r="10" spans="1:5" ht="12.75">
      <c r="A10" s="17"/>
      <c r="B10" s="8"/>
      <c r="C10">
        <v>2000</v>
      </c>
      <c r="D10" s="13">
        <v>35.6</v>
      </c>
      <c r="E10"/>
    </row>
    <row r="11" spans="1:5" ht="12.75">
      <c r="A11" s="17"/>
      <c r="B11" s="8"/>
      <c r="C11">
        <v>2000</v>
      </c>
      <c r="D11" s="13">
        <v>40.5</v>
      </c>
      <c r="E11"/>
    </row>
    <row r="12" spans="1:5" ht="12.75">
      <c r="A12" s="17"/>
      <c r="B12" s="8"/>
      <c r="C12">
        <v>1500</v>
      </c>
      <c r="D12" s="13">
        <v>40.5</v>
      </c>
      <c r="E12"/>
    </row>
    <row r="13" spans="2:5" ht="12.75">
      <c r="B13" s="8"/>
      <c r="C13" s="8"/>
      <c r="D13" s="12"/>
      <c r="E13" s="8"/>
    </row>
    <row r="14" spans="1:5" ht="12.75">
      <c r="A14" s="17" t="s">
        <v>4</v>
      </c>
      <c r="B14" s="14">
        <v>1</v>
      </c>
      <c r="C14" s="9">
        <f>zfwgt+maxgal*ppg</f>
        <v>2195.6</v>
      </c>
      <c r="D14" s="11">
        <f>E14/C14</f>
        <v>43.343220987429405</v>
      </c>
      <c r="E14" s="8">
        <f>zfmom+maxgal*ppg*fuel_arm</f>
        <v>95164.37599999999</v>
      </c>
    </row>
    <row r="15" spans="1:5" ht="12.75">
      <c r="A15" s="17"/>
      <c r="B15" s="14"/>
      <c r="C15" s="8"/>
      <c r="D15" s="12"/>
      <c r="E15" s="8"/>
    </row>
    <row r="16" spans="1:5" ht="12.75">
      <c r="A16" s="17"/>
      <c r="B16" s="14" t="s">
        <v>5</v>
      </c>
      <c r="C16" s="9">
        <f>C47</f>
        <v>2195.6</v>
      </c>
      <c r="D16" s="11">
        <f>E16/C16</f>
        <v>43.343220987429405</v>
      </c>
      <c r="E16" s="8">
        <f>E47</f>
        <v>95164.37599999999</v>
      </c>
    </row>
    <row r="17" spans="1:5" ht="12.75">
      <c r="A17" s="17"/>
      <c r="B17" s="15">
        <v>0.75</v>
      </c>
      <c r="C17" s="8">
        <f>MIN(C16,zfwgt+maxgal*ppg*B17)</f>
        <v>2135.6</v>
      </c>
      <c r="D17" s="12">
        <f>E17/C17</f>
        <v>43.21238808765686</v>
      </c>
      <c r="E17" s="8">
        <f>MIN(E16,zfmom+maxgal*ppg*fuel_arm*B17)</f>
        <v>92284.37599999999</v>
      </c>
    </row>
    <row r="18" spans="1:5" ht="12.75">
      <c r="A18" s="17"/>
      <c r="B18" s="15">
        <v>0.5</v>
      </c>
      <c r="C18" s="8">
        <f>MIN(C17,zfwgt+maxgal*ppg*B18)</f>
        <v>2075.6</v>
      </c>
      <c r="D18" s="12">
        <f>E18/C18</f>
        <v>43.073991135093465</v>
      </c>
      <c r="E18" s="8">
        <f>MIN(E17,zfmom+maxgal*ppg*fuel_arm*B18)</f>
        <v>89404.37599999999</v>
      </c>
    </row>
    <row r="19" spans="1:5" ht="12.75">
      <c r="A19" s="18"/>
      <c r="B19" s="15">
        <v>0.25</v>
      </c>
      <c r="C19" s="8">
        <f>MIN(C18,zfwgt+maxgal*ppg*B19)</f>
        <v>2015.6</v>
      </c>
      <c r="D19" s="12">
        <f>E19/C19</f>
        <v>42.92735463385592</v>
      </c>
      <c r="E19" s="8">
        <f>MIN(E18,zfmom+maxgal*ppg*fuel_arm*B19)</f>
        <v>86524.37599999999</v>
      </c>
    </row>
    <row r="20" spans="1:5" ht="12.75">
      <c r="A20" s="18"/>
      <c r="B20" s="14" t="s">
        <v>6</v>
      </c>
      <c r="C20" s="8">
        <f>zfwgt+C27*ppg</f>
        <v>1979.6</v>
      </c>
      <c r="D20" s="12">
        <f>E20/C20</f>
        <v>42.83510608203677</v>
      </c>
      <c r="E20" s="8">
        <f>zfmom+C27*fuel_arm*ppg</f>
        <v>84796.37599999999</v>
      </c>
    </row>
    <row r="21" spans="1:5" ht="12.75">
      <c r="A21" s="18"/>
      <c r="B21" s="14"/>
      <c r="C21" s="8"/>
      <c r="D21" s="12"/>
      <c r="E21" s="8"/>
    </row>
    <row r="22" spans="1:5" ht="12.75">
      <c r="A22" s="18"/>
      <c r="B22" s="16">
        <v>0</v>
      </c>
      <c r="C22">
        <f>zfwgt+maxgal*ppg*B22</f>
        <v>1955.6</v>
      </c>
      <c r="D22" s="13">
        <f>E22/C22</f>
        <v>42.77172018817754</v>
      </c>
      <c r="E22">
        <f>zfmom+maxgal*ppg*fuel_arm*B22</f>
        <v>83644.37599999999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 t="s">
        <v>7</v>
      </c>
      <c r="C26">
        <v>40</v>
      </c>
      <c r="D26"/>
      <c r="E26"/>
    </row>
    <row r="27" spans="1:5" ht="12.75">
      <c r="A27"/>
      <c r="B27" t="s">
        <v>8</v>
      </c>
      <c r="C27">
        <v>4</v>
      </c>
      <c r="D27" t="s">
        <v>9</v>
      </c>
      <c r="E27">
        <v>1</v>
      </c>
    </row>
    <row r="28" spans="1:5" ht="12.75">
      <c r="A28"/>
      <c r="B28" t="s">
        <v>22</v>
      </c>
      <c r="C28">
        <v>6</v>
      </c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4" spans="1:4" ht="12.75">
      <c r="A34" s="3"/>
      <c r="D34"/>
    </row>
    <row r="35" spans="1:4" ht="12.75">
      <c r="A35" s="3"/>
      <c r="D35"/>
    </row>
    <row r="36" spans="2:5" ht="12.75" customHeight="1">
      <c r="B36" s="1" t="s">
        <v>40</v>
      </c>
      <c r="C36" s="1" t="s">
        <v>11</v>
      </c>
      <c r="D36" s="1" t="s">
        <v>12</v>
      </c>
      <c r="E36" s="1" t="s">
        <v>13</v>
      </c>
    </row>
    <row r="37" spans="5:7" ht="11.25" customHeight="1">
      <c r="E37" s="1" t="s">
        <v>46</v>
      </c>
      <c r="G37" s="25" t="s">
        <v>39</v>
      </c>
    </row>
    <row r="38" spans="1:7" ht="12.75">
      <c r="A38" s="22" t="s">
        <v>14</v>
      </c>
      <c r="C38" s="2">
        <v>1404.6</v>
      </c>
      <c r="D38" s="19">
        <v>38.56</v>
      </c>
      <c r="E38" s="1">
        <f>C38*D38</f>
        <v>54161.376</v>
      </c>
      <c r="G38" s="26">
        <v>39129</v>
      </c>
    </row>
    <row r="39" spans="1:7" ht="12.75">
      <c r="A39" s="1" t="s">
        <v>15</v>
      </c>
      <c r="C39" s="2">
        <f>C38-IF(fuel_inc,unusable*ppg,0)</f>
        <v>1380.6</v>
      </c>
      <c r="D39" s="19"/>
      <c r="G39" s="20"/>
    </row>
    <row r="40" spans="1:5" ht="12.75">
      <c r="A40" s="1" t="s">
        <v>16</v>
      </c>
      <c r="C40" s="4">
        <v>340</v>
      </c>
      <c r="D40" s="19">
        <v>39</v>
      </c>
      <c r="E40" s="1">
        <f>C40*D40</f>
        <v>13260</v>
      </c>
    </row>
    <row r="41" spans="1:10" ht="12.75">
      <c r="A41" s="1" t="s">
        <v>25</v>
      </c>
      <c r="C41" s="4">
        <v>225</v>
      </c>
      <c r="D41" s="19">
        <v>73</v>
      </c>
      <c r="E41" s="1">
        <f>C41*D41</f>
        <v>16425</v>
      </c>
      <c r="I41" s="4"/>
      <c r="J41" s="6"/>
    </row>
    <row r="42" spans="1:5" ht="12.75">
      <c r="A42" s="1" t="s">
        <v>26</v>
      </c>
      <c r="C42" s="4">
        <v>10</v>
      </c>
      <c r="D42" s="19">
        <v>95</v>
      </c>
      <c r="E42" s="1">
        <f>C42*D42</f>
        <v>950</v>
      </c>
    </row>
    <row r="43" spans="1:5" ht="12.75">
      <c r="A43" s="1" t="s">
        <v>27</v>
      </c>
      <c r="C43" s="4">
        <v>0</v>
      </c>
      <c r="D43" s="19">
        <v>123</v>
      </c>
      <c r="E43" s="1">
        <f>C43*D43</f>
        <v>0</v>
      </c>
    </row>
    <row r="44" spans="1:5" ht="12.75">
      <c r="A44" s="1" t="s">
        <v>28</v>
      </c>
      <c r="B44" s="5">
        <v>40</v>
      </c>
      <c r="C44" s="2">
        <f>B44*6</f>
        <v>240</v>
      </c>
      <c r="D44" s="19">
        <v>48</v>
      </c>
      <c r="E44" s="1">
        <f>C44*D44</f>
        <v>11520</v>
      </c>
    </row>
    <row r="45" spans="1:5" ht="12.75">
      <c r="A45"/>
      <c r="B45"/>
      <c r="C45"/>
      <c r="D45" s="13"/>
      <c r="E45"/>
    </row>
    <row r="46" spans="3:4" ht="3" customHeight="1">
      <c r="C46" s="2"/>
      <c r="D46" s="19"/>
    </row>
    <row r="47" spans="1:5" ht="12.75">
      <c r="A47" s="1" t="s">
        <v>29</v>
      </c>
      <c r="C47" s="2">
        <f>SUM(C39:C45)</f>
        <v>2195.6</v>
      </c>
      <c r="D47" s="19">
        <f>E47/C47</f>
        <v>43.343220987429405</v>
      </c>
      <c r="E47" s="1">
        <f>SUM(E38:E45)-IF(fuel_inc,unusable*ppg*fuel_arm,0)</f>
        <v>95164.37599999999</v>
      </c>
    </row>
    <row r="48" spans="1:5" ht="12.75">
      <c r="A48" s="1" t="s">
        <v>30</v>
      </c>
      <c r="C48" s="2">
        <f>C47-C44</f>
        <v>1955.6</v>
      </c>
      <c r="D48" s="19">
        <f>E48/C48</f>
        <v>42.77172018817754</v>
      </c>
      <c r="E48" s="1">
        <f>E47-E44</f>
        <v>83644.37599999999</v>
      </c>
    </row>
    <row r="49" spans="1:5" ht="12.75">
      <c r="A49" s="1" t="s">
        <v>41</v>
      </c>
      <c r="B49"/>
      <c r="C49" s="21">
        <v>2300</v>
      </c>
      <c r="D49"/>
      <c r="E49"/>
    </row>
    <row r="50" spans="1:3" ht="12.75">
      <c r="A50" s="1" t="s">
        <v>42</v>
      </c>
      <c r="C50" s="1">
        <v>895.4</v>
      </c>
    </row>
    <row r="51" ht="12.75">
      <c r="A51" s="10" t="s">
        <v>31</v>
      </c>
    </row>
    <row r="52" ht="12.75">
      <c r="A52" s="10" t="s">
        <v>32</v>
      </c>
    </row>
    <row r="53" ht="12.75">
      <c r="A53" s="10" t="s">
        <v>33</v>
      </c>
    </row>
    <row r="54" ht="12.75">
      <c r="A54" s="10" t="s">
        <v>34</v>
      </c>
    </row>
    <row r="55" ht="12.75">
      <c r="A55" s="22" t="s">
        <v>35</v>
      </c>
    </row>
  </sheetData>
  <printOptions/>
  <pageMargins left="1.11" right="0.5" top="0.61" bottom="0.69" header="0.31" footer="0.46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1">
      <selection activeCell="C41" sqref="C41"/>
    </sheetView>
  </sheetViews>
  <sheetFormatPr defaultColWidth="9.140625" defaultRowHeight="12.75"/>
  <cols>
    <col min="1" max="1" width="18.7109375" style="1" customWidth="1"/>
    <col min="2" max="5" width="9.28125" style="1" bestFit="1" customWidth="1"/>
    <col min="6" max="6" width="10.00390625" style="0" customWidth="1"/>
    <col min="7" max="7" width="9.7109375" style="0" bestFit="1" customWidth="1"/>
  </cols>
  <sheetData>
    <row r="1" spans="2:5" ht="12.75">
      <c r="B1"/>
      <c r="C1"/>
      <c r="D1"/>
      <c r="E1"/>
    </row>
    <row r="2" spans="2:5" ht="12.75">
      <c r="B2"/>
      <c r="C2" t="s">
        <v>0</v>
      </c>
      <c r="D2" t="s">
        <v>1</v>
      </c>
      <c r="E2"/>
    </row>
    <row r="3" spans="1:5" ht="12.75">
      <c r="A3" s="17" t="s">
        <v>23</v>
      </c>
      <c r="B3"/>
      <c r="C3">
        <v>1500</v>
      </c>
      <c r="D3" s="13">
        <v>35</v>
      </c>
      <c r="E3"/>
    </row>
    <row r="4" spans="1:5" ht="12.75">
      <c r="A4" s="17" t="s">
        <v>24</v>
      </c>
      <c r="B4"/>
      <c r="C4">
        <v>1950</v>
      </c>
      <c r="D4" s="13">
        <v>35</v>
      </c>
      <c r="E4"/>
    </row>
    <row r="5" spans="1:5" ht="12.75">
      <c r="A5" s="17"/>
      <c r="B5"/>
      <c r="C5">
        <v>2300</v>
      </c>
      <c r="D5" s="13">
        <v>38.5</v>
      </c>
      <c r="E5"/>
    </row>
    <row r="6" spans="1:5" ht="12.75">
      <c r="A6" s="18"/>
      <c r="B6" s="8"/>
      <c r="C6">
        <v>2300</v>
      </c>
      <c r="D6" s="13">
        <v>47.3</v>
      </c>
      <c r="E6"/>
    </row>
    <row r="7" spans="1:5" ht="12.75">
      <c r="A7" s="17"/>
      <c r="B7" s="8"/>
      <c r="C7">
        <v>1500</v>
      </c>
      <c r="D7" s="13">
        <v>47.3</v>
      </c>
      <c r="E7"/>
    </row>
    <row r="8" spans="1:5" ht="12.75">
      <c r="A8" s="17"/>
      <c r="B8" s="8"/>
      <c r="C8">
        <v>1500</v>
      </c>
      <c r="D8" s="13">
        <v>35</v>
      </c>
      <c r="E8"/>
    </row>
    <row r="9" spans="1:5" ht="12.75">
      <c r="A9" s="17"/>
      <c r="B9" s="8"/>
      <c r="C9"/>
      <c r="D9" s="13"/>
      <c r="E9"/>
    </row>
    <row r="10" spans="1:5" ht="12.75">
      <c r="A10" s="17"/>
      <c r="B10" s="8"/>
      <c r="C10">
        <v>2000</v>
      </c>
      <c r="D10" s="13">
        <v>35.6</v>
      </c>
      <c r="E10"/>
    </row>
    <row r="11" spans="1:5" ht="12.75">
      <c r="A11" s="17"/>
      <c r="B11" s="8"/>
      <c r="C11">
        <v>2000</v>
      </c>
      <c r="D11" s="13">
        <v>40.5</v>
      </c>
      <c r="E11"/>
    </row>
    <row r="12" spans="1:5" ht="12.75">
      <c r="A12" s="17"/>
      <c r="B12" s="8"/>
      <c r="C12">
        <v>1500</v>
      </c>
      <c r="D12" s="13">
        <v>40.5</v>
      </c>
      <c r="E12"/>
    </row>
    <row r="13" spans="2:5" ht="12.75">
      <c r="B13" s="8"/>
      <c r="C13" s="8"/>
      <c r="D13" s="12"/>
      <c r="E13" s="8"/>
    </row>
    <row r="14" spans="1:5" ht="12.75">
      <c r="A14" s="17" t="s">
        <v>4</v>
      </c>
      <c r="B14" s="14">
        <v>1</v>
      </c>
      <c r="C14" s="9">
        <f>zfwgt+maxgal*ppg</f>
        <v>2267.2</v>
      </c>
      <c r="D14" s="11">
        <f>E14/C14</f>
        <v>43.26378528581511</v>
      </c>
      <c r="E14" s="8">
        <f>zfmom+maxgal*ppg*fuel_arm</f>
        <v>98087.65400000001</v>
      </c>
    </row>
    <row r="15" spans="1:5" ht="12.75">
      <c r="A15" s="17"/>
      <c r="B15" s="14"/>
      <c r="C15" s="8"/>
      <c r="D15" s="12"/>
      <c r="E15" s="8"/>
    </row>
    <row r="16" spans="1:5" ht="12.75">
      <c r="A16" s="17"/>
      <c r="B16" s="14" t="s">
        <v>5</v>
      </c>
      <c r="C16" s="9">
        <f>C47</f>
        <v>2267.2</v>
      </c>
      <c r="D16" s="11">
        <f>E16/C16</f>
        <v>43.26378528581511</v>
      </c>
      <c r="E16" s="8">
        <f>E47</f>
        <v>98087.65400000001</v>
      </c>
    </row>
    <row r="17" spans="1:5" ht="12.75">
      <c r="A17" s="17"/>
      <c r="B17" s="15">
        <v>0.75</v>
      </c>
      <c r="C17" s="8">
        <f>MIN(C16,zfwgt+maxgal*ppg*B17)</f>
        <v>2207.2</v>
      </c>
      <c r="D17" s="12">
        <f>E17/C17</f>
        <v>43.135037151141724</v>
      </c>
      <c r="E17" s="8">
        <f>MIN(E16,zfmom+maxgal*ppg*fuel_arm*B17)</f>
        <v>95207.65400000001</v>
      </c>
    </row>
    <row r="18" spans="1:5" ht="12.75">
      <c r="A18" s="17"/>
      <c r="B18" s="15">
        <v>0.5</v>
      </c>
      <c r="C18" s="8">
        <f>MIN(C17,zfwgt+maxgal*ppg*B18)</f>
        <v>2147.2</v>
      </c>
      <c r="D18" s="12">
        <f>E18/C18</f>
        <v>42.999093703427725</v>
      </c>
      <c r="E18" s="8">
        <f>MIN(E17,zfmom+maxgal*ppg*fuel_arm*B18)</f>
        <v>92327.65400000001</v>
      </c>
    </row>
    <row r="19" spans="1:5" ht="12.75">
      <c r="A19" s="18"/>
      <c r="B19" s="15">
        <v>0.25</v>
      </c>
      <c r="C19" s="8">
        <f>MIN(C18,zfwgt+maxgal*ppg*B19)</f>
        <v>2087.2</v>
      </c>
      <c r="D19" s="12">
        <f>E19/C19</f>
        <v>42.85533441931776</v>
      </c>
      <c r="E19" s="8">
        <f>MIN(E18,zfmom+maxgal*ppg*fuel_arm*B19)</f>
        <v>89447.65400000001</v>
      </c>
    </row>
    <row r="20" spans="1:5" ht="12.75">
      <c r="A20" s="18"/>
      <c r="B20" s="14" t="s">
        <v>6</v>
      </c>
      <c r="C20" s="8">
        <f>zfwgt+C27*ppg</f>
        <v>2051.2</v>
      </c>
      <c r="D20" s="12">
        <f>E20/C20</f>
        <v>42.76504192667708</v>
      </c>
      <c r="E20" s="8">
        <f>zfmom+C27*fuel_arm*ppg</f>
        <v>87719.65400000001</v>
      </c>
    </row>
    <row r="21" spans="1:5" ht="12.75">
      <c r="A21" s="18"/>
      <c r="B21" s="14"/>
      <c r="C21" s="8"/>
      <c r="D21" s="12"/>
      <c r="E21" s="8"/>
    </row>
    <row r="22" spans="1:5" ht="12.75">
      <c r="A22" s="18"/>
      <c r="B22" s="16">
        <v>0</v>
      </c>
      <c r="C22">
        <f>zfwgt+maxgal*ppg*B22</f>
        <v>2027.1999999999998</v>
      </c>
      <c r="D22" s="13">
        <f>E22/C22</f>
        <v>42.70306531176007</v>
      </c>
      <c r="E22">
        <f>zfmom+maxgal*ppg*fuel_arm*B22</f>
        <v>86567.65400000001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 t="s">
        <v>7</v>
      </c>
      <c r="C26">
        <v>40</v>
      </c>
      <c r="D26"/>
      <c r="E26"/>
    </row>
    <row r="27" spans="1:5" ht="12.75">
      <c r="A27"/>
      <c r="B27" t="s">
        <v>8</v>
      </c>
      <c r="C27">
        <v>4</v>
      </c>
      <c r="D27" t="s">
        <v>9</v>
      </c>
      <c r="E27">
        <v>1</v>
      </c>
    </row>
    <row r="28" spans="1:5" ht="12.75">
      <c r="A28"/>
      <c r="B28" t="s">
        <v>22</v>
      </c>
      <c r="C28">
        <v>6</v>
      </c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4" spans="1:4" ht="12.75">
      <c r="A34" s="3"/>
      <c r="D34"/>
    </row>
    <row r="35" spans="1:4" ht="12.75">
      <c r="A35" s="3"/>
      <c r="D35"/>
    </row>
    <row r="36" spans="2:5" ht="12.75" customHeight="1">
      <c r="B36" s="1" t="s">
        <v>40</v>
      </c>
      <c r="C36" s="1" t="s">
        <v>11</v>
      </c>
      <c r="D36" s="1" t="s">
        <v>12</v>
      </c>
      <c r="E36" s="1" t="s">
        <v>13</v>
      </c>
    </row>
    <row r="37" spans="2:7" ht="11.25" customHeight="1">
      <c r="B37" s="10"/>
      <c r="E37" s="1" t="s">
        <v>47</v>
      </c>
      <c r="G37" s="25" t="s">
        <v>39</v>
      </c>
    </row>
    <row r="38" spans="1:7" ht="12.75">
      <c r="A38" s="22" t="s">
        <v>14</v>
      </c>
      <c r="C38" s="2">
        <v>1476.2</v>
      </c>
      <c r="D38" s="19">
        <v>38.67</v>
      </c>
      <c r="E38" s="1">
        <f aca="true" t="shared" si="0" ref="E38:E44">C38*D38</f>
        <v>57084.654</v>
      </c>
      <c r="G38" s="26">
        <v>39182</v>
      </c>
    </row>
    <row r="39" spans="1:7" ht="12.75">
      <c r="A39" s="1" t="s">
        <v>15</v>
      </c>
      <c r="C39" s="2">
        <f>C38-IF(fuel_inc,unusable*ppg,0)</f>
        <v>1452.2</v>
      </c>
      <c r="D39" s="19"/>
      <c r="G39" s="20"/>
    </row>
    <row r="40" spans="1:5" ht="12.75">
      <c r="A40" s="1" t="s">
        <v>16</v>
      </c>
      <c r="C40" s="4">
        <v>340</v>
      </c>
      <c r="D40" s="19">
        <v>39</v>
      </c>
      <c r="E40" s="1">
        <f t="shared" si="0"/>
        <v>13260</v>
      </c>
    </row>
    <row r="41" spans="1:10" ht="12.75">
      <c r="A41" s="1" t="s">
        <v>25</v>
      </c>
      <c r="C41" s="4">
        <v>225</v>
      </c>
      <c r="D41" s="19">
        <v>73</v>
      </c>
      <c r="E41" s="1">
        <f t="shared" si="0"/>
        <v>16425</v>
      </c>
      <c r="I41" s="4"/>
      <c r="J41" s="6"/>
    </row>
    <row r="42" spans="1:5" ht="12.75">
      <c r="A42" s="1" t="s">
        <v>26</v>
      </c>
      <c r="C42" s="4">
        <v>10</v>
      </c>
      <c r="D42" s="19">
        <v>95</v>
      </c>
      <c r="E42" s="1">
        <f t="shared" si="0"/>
        <v>950</v>
      </c>
    </row>
    <row r="43" spans="1:5" ht="12.75">
      <c r="A43" s="1" t="s">
        <v>27</v>
      </c>
      <c r="C43" s="4">
        <v>0</v>
      </c>
      <c r="D43" s="19">
        <v>123</v>
      </c>
      <c r="E43" s="1">
        <f t="shared" si="0"/>
        <v>0</v>
      </c>
    </row>
    <row r="44" spans="1:5" ht="12.75">
      <c r="A44" s="1" t="s">
        <v>28</v>
      </c>
      <c r="B44" s="5">
        <v>40</v>
      </c>
      <c r="C44" s="2">
        <f>B44*6</f>
        <v>240</v>
      </c>
      <c r="D44" s="19">
        <v>48</v>
      </c>
      <c r="E44" s="1">
        <f t="shared" si="0"/>
        <v>11520</v>
      </c>
    </row>
    <row r="45" spans="1:5" ht="12.75">
      <c r="A45"/>
      <c r="B45"/>
      <c r="C45"/>
      <c r="D45" s="13"/>
      <c r="E45"/>
    </row>
    <row r="46" spans="3:4" ht="3" customHeight="1">
      <c r="C46" s="2"/>
      <c r="D46" s="19"/>
    </row>
    <row r="47" spans="1:5" ht="12.75">
      <c r="A47" s="1" t="s">
        <v>29</v>
      </c>
      <c r="C47" s="2">
        <f>SUM(C39:C45)</f>
        <v>2267.2</v>
      </c>
      <c r="D47" s="19">
        <f>E47/C47</f>
        <v>43.26378528581511</v>
      </c>
      <c r="E47" s="1">
        <f>SUM(E38:E45)-IF(fuel_inc,unusable*ppg*fuel_arm,0)</f>
        <v>98087.65400000001</v>
      </c>
    </row>
    <row r="48" spans="1:5" ht="12.75">
      <c r="A48" s="1" t="s">
        <v>30</v>
      </c>
      <c r="C48" s="2">
        <f>C47-C44</f>
        <v>2027.1999999999998</v>
      </c>
      <c r="D48" s="19">
        <f>E48/C48</f>
        <v>42.70306531176007</v>
      </c>
      <c r="E48" s="1">
        <f>E47-E44</f>
        <v>86567.65400000001</v>
      </c>
    </row>
    <row r="49" spans="1:5" ht="12.75">
      <c r="A49" s="1" t="s">
        <v>41</v>
      </c>
      <c r="B49"/>
      <c r="C49" s="21">
        <v>2300</v>
      </c>
      <c r="D49"/>
      <c r="E49"/>
    </row>
    <row r="50" spans="1:3" ht="12.75">
      <c r="A50" s="1" t="s">
        <v>42</v>
      </c>
      <c r="C50" s="1">
        <v>895.4</v>
      </c>
    </row>
    <row r="51" ht="12.75">
      <c r="A51" s="10" t="s">
        <v>31</v>
      </c>
    </row>
    <row r="52" ht="12.75">
      <c r="A52" s="10" t="s">
        <v>32</v>
      </c>
    </row>
    <row r="53" ht="12.75">
      <c r="A53" s="10" t="s">
        <v>33</v>
      </c>
    </row>
    <row r="54" ht="12.75">
      <c r="A54" s="10" t="s">
        <v>34</v>
      </c>
    </row>
    <row r="55" ht="12.75">
      <c r="A55" s="22" t="s">
        <v>35</v>
      </c>
    </row>
  </sheetData>
  <printOptions/>
  <pageMargins left="1.24" right="0.5" top="0.48" bottom="0.73" header="0.24" footer="0.46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5">
      <selection activeCell="C42" sqref="C42"/>
    </sheetView>
  </sheetViews>
  <sheetFormatPr defaultColWidth="9.140625" defaultRowHeight="12.75"/>
  <cols>
    <col min="1" max="1" width="18.7109375" style="1" customWidth="1"/>
    <col min="2" max="4" width="9.28125" style="1" bestFit="1" customWidth="1"/>
    <col min="5" max="5" width="9.8515625" style="1" bestFit="1" customWidth="1"/>
    <col min="6" max="6" width="11.28125" style="0" customWidth="1"/>
    <col min="7" max="7" width="10.140625" style="0" bestFit="1" customWidth="1"/>
  </cols>
  <sheetData>
    <row r="1" spans="2:5" ht="12.75">
      <c r="B1"/>
      <c r="C1"/>
      <c r="D1"/>
      <c r="E1"/>
    </row>
    <row r="2" spans="2:5" ht="12.75">
      <c r="B2"/>
      <c r="C2" t="s">
        <v>0</v>
      </c>
      <c r="D2" t="s">
        <v>1</v>
      </c>
      <c r="E2"/>
    </row>
    <row r="3" spans="1:5" ht="12.75">
      <c r="A3" s="17" t="s">
        <v>2</v>
      </c>
      <c r="B3"/>
      <c r="C3">
        <v>1200</v>
      </c>
      <c r="D3" s="21">
        <v>82</v>
      </c>
      <c r="E3"/>
    </row>
    <row r="4" spans="1:5" ht="12.75">
      <c r="A4" s="17" t="s">
        <v>3</v>
      </c>
      <c r="B4"/>
      <c r="C4">
        <v>2060</v>
      </c>
      <c r="D4" s="21">
        <v>82</v>
      </c>
      <c r="E4"/>
    </row>
    <row r="5" spans="1:5" ht="12.75">
      <c r="A5" s="17"/>
      <c r="B5"/>
      <c r="C5">
        <v>2550</v>
      </c>
      <c r="D5" s="21">
        <v>88.5</v>
      </c>
      <c r="E5"/>
    </row>
    <row r="6" spans="1:5" ht="12.75">
      <c r="A6" s="18"/>
      <c r="B6" s="8"/>
      <c r="C6">
        <v>2550</v>
      </c>
      <c r="D6" s="21">
        <v>93</v>
      </c>
      <c r="E6"/>
    </row>
    <row r="7" spans="1:5" ht="12.75">
      <c r="A7" s="17"/>
      <c r="B7" s="8"/>
      <c r="C7">
        <v>1200</v>
      </c>
      <c r="D7" s="21">
        <v>93</v>
      </c>
      <c r="E7"/>
    </row>
    <row r="8" spans="1:5" ht="12.75">
      <c r="A8" s="17"/>
      <c r="B8" s="8"/>
      <c r="C8">
        <v>1200</v>
      </c>
      <c r="D8" s="21">
        <v>82</v>
      </c>
      <c r="E8"/>
    </row>
    <row r="9" spans="1:5" ht="12.75">
      <c r="A9" s="17"/>
      <c r="B9" s="8"/>
      <c r="C9"/>
      <c r="D9" s="21"/>
      <c r="E9"/>
    </row>
    <row r="10" spans="1:5" ht="12.75">
      <c r="A10" s="17"/>
      <c r="B10" s="8"/>
      <c r="C10">
        <v>1950</v>
      </c>
      <c r="D10" s="21">
        <v>82</v>
      </c>
      <c r="E10"/>
    </row>
    <row r="11" spans="1:5" ht="12.75">
      <c r="A11" s="17"/>
      <c r="B11" s="8"/>
      <c r="C11">
        <v>1950</v>
      </c>
      <c r="D11" s="21">
        <v>86.5</v>
      </c>
      <c r="E11"/>
    </row>
    <row r="12" spans="1:5" ht="12.75">
      <c r="A12" s="17"/>
      <c r="B12" s="8"/>
      <c r="C12">
        <v>1200</v>
      </c>
      <c r="D12" s="21">
        <v>86.5</v>
      </c>
      <c r="E12"/>
    </row>
    <row r="13" spans="2:5" ht="12.75">
      <c r="B13" s="8"/>
      <c r="C13" s="8"/>
      <c r="D13" s="8"/>
      <c r="E13" s="8"/>
    </row>
    <row r="14" spans="1:5" ht="12.75">
      <c r="A14" s="17" t="s">
        <v>4</v>
      </c>
      <c r="B14" s="14">
        <v>1</v>
      </c>
      <c r="C14" s="9">
        <f>zfwgt+maxgal*ppg</f>
        <v>2371.7</v>
      </c>
      <c r="D14" s="9">
        <f>E14/C14</f>
        <v>89.65281022051694</v>
      </c>
      <c r="E14" s="8">
        <f>zfmom+maxgal*ppg*fuel_arm</f>
        <v>212629.57</v>
      </c>
    </row>
    <row r="15" spans="1:5" ht="12.75">
      <c r="A15" s="17"/>
      <c r="B15" s="14"/>
      <c r="C15" s="8"/>
      <c r="D15" s="8"/>
      <c r="E15" s="8"/>
    </row>
    <row r="16" spans="1:5" ht="12.75">
      <c r="A16" s="17"/>
      <c r="B16" s="14" t="s">
        <v>5</v>
      </c>
      <c r="C16" s="9">
        <f>C47</f>
        <v>2371.7</v>
      </c>
      <c r="D16" s="9">
        <f>E16/C16</f>
        <v>89.65281022051694</v>
      </c>
      <c r="E16" s="8">
        <f>E47</f>
        <v>212629.57</v>
      </c>
    </row>
    <row r="17" spans="1:5" ht="12.75">
      <c r="A17" s="17"/>
      <c r="B17" s="15">
        <v>0.75</v>
      </c>
      <c r="C17" s="8">
        <f>MIN(C16,zfwgt+maxgal*ppg*B17)</f>
        <v>2296.7</v>
      </c>
      <c r="D17" s="8">
        <f>E17/C17</f>
        <v>89.47819480123657</v>
      </c>
      <c r="E17" s="8">
        <f>MIN(E16,zfmom+maxgal*ppg*fuel_arm*B17)</f>
        <v>205504.57</v>
      </c>
    </row>
    <row r="18" spans="1:5" ht="12.75">
      <c r="A18" s="17"/>
      <c r="B18" s="15">
        <v>0.5</v>
      </c>
      <c r="C18" s="8">
        <f>MIN(C17,zfwgt+maxgal*ppg*B18)</f>
        <v>2221.7</v>
      </c>
      <c r="D18" s="8">
        <f>E18/C18</f>
        <v>89.29179007066662</v>
      </c>
      <c r="E18" s="8">
        <f>MIN(E17,zfmom+maxgal*ppg*fuel_arm*B18)</f>
        <v>198379.57</v>
      </c>
    </row>
    <row r="19" spans="1:5" ht="12.75">
      <c r="A19" s="18"/>
      <c r="B19" s="15">
        <v>0.25</v>
      </c>
      <c r="C19" s="8">
        <f>MIN(C18,zfwgt+maxgal*ppg*B19)</f>
        <v>2146.7</v>
      </c>
      <c r="D19" s="8">
        <f>E19/C19</f>
        <v>89.09236036707506</v>
      </c>
      <c r="E19" s="8">
        <f>MIN(E18,zfmom+maxgal*ppg*fuel_arm*B19)</f>
        <v>191254.57</v>
      </c>
    </row>
    <row r="20" spans="1:5" ht="12.75">
      <c r="A20" s="18"/>
      <c r="B20" s="14" t="s">
        <v>6</v>
      </c>
      <c r="C20" s="8">
        <f>zfwgt+C27*ppg</f>
        <v>2083.7</v>
      </c>
      <c r="D20" s="8">
        <f>E20/C20</f>
        <v>88.91374478091856</v>
      </c>
      <c r="E20" s="8">
        <f>zfmom+C27*fuel_arm*ppg</f>
        <v>185269.57</v>
      </c>
    </row>
    <row r="21" spans="1:5" ht="12.75">
      <c r="A21" s="18"/>
      <c r="B21" s="14"/>
      <c r="C21" s="8"/>
      <c r="D21" s="8"/>
      <c r="E21" s="8"/>
    </row>
    <row r="22" spans="1:5" ht="12.75">
      <c r="A22" s="18"/>
      <c r="B22" s="16">
        <v>0</v>
      </c>
      <c r="C22">
        <f>zfwgt+maxgal*ppg*B22</f>
        <v>2071.7</v>
      </c>
      <c r="D22">
        <f>E22/C22</f>
        <v>88.87849109427042</v>
      </c>
      <c r="E22">
        <f>zfmom+maxgal*ppg*fuel_arm*B22</f>
        <v>184129.57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 t="s">
        <v>7</v>
      </c>
      <c r="C26">
        <v>50</v>
      </c>
      <c r="D26"/>
      <c r="E26"/>
    </row>
    <row r="27" spans="1:5" ht="12.75">
      <c r="A27"/>
      <c r="B27" t="s">
        <v>8</v>
      </c>
      <c r="C27">
        <v>2</v>
      </c>
      <c r="D27" t="s">
        <v>9</v>
      </c>
      <c r="E27" s="24">
        <v>1</v>
      </c>
    </row>
    <row r="28" spans="1:5" ht="12.75">
      <c r="A28"/>
      <c r="B28" t="s">
        <v>22</v>
      </c>
      <c r="C28">
        <v>6</v>
      </c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4" spans="1:4" ht="12.75">
      <c r="A34" s="3"/>
      <c r="D34"/>
    </row>
    <row r="35" spans="1:4" ht="12.75">
      <c r="A35" s="3"/>
      <c r="D35"/>
    </row>
    <row r="36" spans="2:5" ht="12.75" customHeight="1">
      <c r="B36" s="1" t="s">
        <v>40</v>
      </c>
      <c r="C36" s="1" t="s">
        <v>11</v>
      </c>
      <c r="D36" s="1" t="s">
        <v>12</v>
      </c>
      <c r="E36" s="1" t="s">
        <v>13</v>
      </c>
    </row>
    <row r="37" spans="5:7" ht="10.5" customHeight="1">
      <c r="E37" s="1" t="s">
        <v>44</v>
      </c>
      <c r="G37" s="25" t="s">
        <v>39</v>
      </c>
    </row>
    <row r="38" spans="1:7" ht="12.75">
      <c r="A38" s="22" t="s">
        <v>14</v>
      </c>
      <c r="C38" s="2">
        <v>1508.7</v>
      </c>
      <c r="D38" s="19">
        <v>86.1</v>
      </c>
      <c r="E38" s="2">
        <f aca="true" t="shared" si="0" ref="E38:E44">C38*D38</f>
        <v>129899.06999999999</v>
      </c>
      <c r="G38" s="26">
        <v>38757</v>
      </c>
    </row>
    <row r="39" spans="1:7" ht="12.75">
      <c r="A39" s="1" t="s">
        <v>15</v>
      </c>
      <c r="C39" s="2">
        <f>C38-IF(fuel_inc,unusable*ppg,0)</f>
        <v>1496.7</v>
      </c>
      <c r="D39" s="19"/>
      <c r="E39" s="2"/>
      <c r="G39" s="20"/>
    </row>
    <row r="40" spans="1:5" ht="12.75" hidden="1">
      <c r="A40" s="1" t="s">
        <v>36</v>
      </c>
      <c r="B40" s="7"/>
      <c r="C40" s="2">
        <f>B40*1.875</f>
        <v>0</v>
      </c>
      <c r="D40" s="19">
        <v>24.5</v>
      </c>
      <c r="E40" s="2">
        <f t="shared" si="0"/>
        <v>0</v>
      </c>
    </row>
    <row r="41" spans="1:10" ht="12.75">
      <c r="A41" s="1" t="s">
        <v>16</v>
      </c>
      <c r="C41" s="4">
        <v>340</v>
      </c>
      <c r="D41" s="19">
        <v>80.5</v>
      </c>
      <c r="E41" s="2">
        <f t="shared" si="0"/>
        <v>27370</v>
      </c>
      <c r="I41" s="4"/>
      <c r="J41" s="6"/>
    </row>
    <row r="42" spans="1:5" ht="12.75">
      <c r="A42" s="1" t="s">
        <v>25</v>
      </c>
      <c r="C42" s="4">
        <v>225</v>
      </c>
      <c r="D42" s="19">
        <v>118.1</v>
      </c>
      <c r="E42" s="2">
        <f t="shared" si="0"/>
        <v>26572.5</v>
      </c>
    </row>
    <row r="43" spans="1:5" ht="12.75">
      <c r="A43" s="1" t="s">
        <v>37</v>
      </c>
      <c r="C43" s="4">
        <v>10</v>
      </c>
      <c r="D43" s="19">
        <v>142.8</v>
      </c>
      <c r="E43" s="2">
        <f t="shared" si="0"/>
        <v>1428</v>
      </c>
    </row>
    <row r="44" spans="1:5" ht="12.75">
      <c r="A44" s="1" t="s">
        <v>38</v>
      </c>
      <c r="B44" s="5">
        <v>50</v>
      </c>
      <c r="C44" s="2">
        <f>B44*6</f>
        <v>300</v>
      </c>
      <c r="D44" s="19">
        <v>95</v>
      </c>
      <c r="E44" s="2">
        <f t="shared" si="0"/>
        <v>28500</v>
      </c>
    </row>
    <row r="45" spans="1:5" ht="12.75">
      <c r="A45"/>
      <c r="B45"/>
      <c r="C45"/>
      <c r="D45" s="13"/>
      <c r="E45" s="21"/>
    </row>
    <row r="46" spans="3:5" ht="3" customHeight="1">
      <c r="C46" s="2"/>
      <c r="D46" s="19"/>
      <c r="E46" s="2"/>
    </row>
    <row r="47" spans="1:5" ht="12.75">
      <c r="A47" s="1" t="s">
        <v>29</v>
      </c>
      <c r="C47" s="2">
        <f>SUM(C39:C45)</f>
        <v>2371.7</v>
      </c>
      <c r="D47" s="19">
        <f>E47/C47</f>
        <v>89.65281022051694</v>
      </c>
      <c r="E47" s="2">
        <f>SUM(E38:E45)-IF(fuel_inc,unusable*ppg*fuel_arm,0)</f>
        <v>212629.57</v>
      </c>
    </row>
    <row r="48" spans="1:5" ht="12.75">
      <c r="A48" s="1" t="s">
        <v>21</v>
      </c>
      <c r="C48" s="2">
        <f>C47-C44</f>
        <v>2071.7</v>
      </c>
      <c r="D48" s="19">
        <f>E48/C48</f>
        <v>88.87849109427042</v>
      </c>
      <c r="E48" s="1">
        <f>E47-E44</f>
        <v>184129.57</v>
      </c>
    </row>
    <row r="49" spans="1:5" ht="12.75">
      <c r="A49" s="1" t="s">
        <v>41</v>
      </c>
      <c r="B49"/>
      <c r="C49" s="21">
        <v>2550</v>
      </c>
      <c r="D49"/>
      <c r="E49"/>
    </row>
    <row r="50" spans="1:3" ht="12.75">
      <c r="A50" s="1" t="s">
        <v>42</v>
      </c>
      <c r="C50" s="1">
        <v>1041.3</v>
      </c>
    </row>
    <row r="51" ht="12.75">
      <c r="A51" s="10" t="str">
        <f>'N93KK'!A51</f>
        <v>Warning:  Use according to instructions.  Misuse could create a hazard.</v>
      </c>
    </row>
    <row r="52" ht="12.75">
      <c r="A52" s="10" t="str">
        <f>'N93KK'!A52</f>
        <v>Instructions:  First calculate weight and balance according to procedures in your operating handbook.</v>
      </c>
    </row>
    <row r="53" ht="12.75">
      <c r="A53" s="10" t="str">
        <f>'N93KK'!A53</f>
        <v>Then fill in the fields of this form with information appropriate to your aircraft.  </v>
      </c>
    </row>
    <row r="54" ht="12.75">
      <c r="A54" s="10" t="str">
        <f>'N93KK'!A54</f>
        <v>Check to see if this form helps confirm and visualize the results of your calculation.</v>
      </c>
    </row>
    <row r="55" ht="12.75">
      <c r="A55" s="22" t="str">
        <f>'N93KK'!A55</f>
        <v>All fuel numbers measured relative to absolute zero, not zero usable.</v>
      </c>
    </row>
    <row r="56" ht="12.75">
      <c r="A56" s="22"/>
    </row>
  </sheetData>
  <printOptions/>
  <pageMargins left="1.27" right="0.5" top="0.51" bottom="0.76" header="0.24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8">
      <selection activeCell="C42" sqref="C42"/>
    </sheetView>
  </sheetViews>
  <sheetFormatPr defaultColWidth="9.140625" defaultRowHeight="12.75"/>
  <cols>
    <col min="1" max="1" width="18.7109375" style="1" customWidth="1"/>
    <col min="2" max="4" width="9.28125" style="1" bestFit="1" customWidth="1"/>
    <col min="5" max="5" width="9.8515625" style="1" bestFit="1" customWidth="1"/>
    <col min="6" max="6" width="10.28125" style="0" customWidth="1"/>
    <col min="7" max="7" width="9.8515625" style="0" bestFit="1" customWidth="1"/>
  </cols>
  <sheetData>
    <row r="1" spans="2:5" ht="12.75">
      <c r="B1"/>
      <c r="C1"/>
      <c r="D1"/>
      <c r="E1"/>
    </row>
    <row r="2" spans="2:5" ht="12.75">
      <c r="B2"/>
      <c r="C2" t="s">
        <v>0</v>
      </c>
      <c r="D2" t="s">
        <v>1</v>
      </c>
      <c r="E2"/>
    </row>
    <row r="3" spans="1:5" ht="12.75">
      <c r="A3" s="17" t="s">
        <v>2</v>
      </c>
      <c r="B3"/>
      <c r="C3">
        <v>1400</v>
      </c>
      <c r="D3" s="21">
        <v>80</v>
      </c>
      <c r="E3"/>
    </row>
    <row r="4" spans="1:5" ht="12.75">
      <c r="A4" s="17" t="s">
        <v>3</v>
      </c>
      <c r="B4"/>
      <c r="C4">
        <v>1800</v>
      </c>
      <c r="D4" s="21">
        <v>80</v>
      </c>
      <c r="E4"/>
    </row>
    <row r="5" spans="1:5" ht="12.75">
      <c r="A5" s="17"/>
      <c r="B5"/>
      <c r="C5">
        <v>2300</v>
      </c>
      <c r="D5" s="21">
        <v>82</v>
      </c>
      <c r="E5"/>
    </row>
    <row r="6" spans="1:5" ht="12.75">
      <c r="A6" s="18"/>
      <c r="B6" s="8"/>
      <c r="C6">
        <v>2650</v>
      </c>
      <c r="D6" s="21">
        <v>87.5</v>
      </c>
      <c r="E6"/>
    </row>
    <row r="7" spans="1:5" ht="12.75">
      <c r="A7" s="17"/>
      <c r="B7" s="8"/>
      <c r="C7">
        <v>2650</v>
      </c>
      <c r="D7" s="21">
        <v>93</v>
      </c>
      <c r="E7"/>
    </row>
    <row r="8" spans="1:5" ht="12.75">
      <c r="A8" s="17"/>
      <c r="B8" s="8"/>
      <c r="C8">
        <v>1400</v>
      </c>
      <c r="D8" s="21">
        <v>93</v>
      </c>
      <c r="E8"/>
    </row>
    <row r="9" spans="1:5" ht="12.75">
      <c r="A9" s="17"/>
      <c r="B9" s="8"/>
      <c r="C9">
        <v>1400</v>
      </c>
      <c r="D9" s="21">
        <v>80</v>
      </c>
      <c r="E9"/>
    </row>
    <row r="10" spans="1:5" ht="12.75">
      <c r="A10" s="17"/>
      <c r="B10" s="8"/>
      <c r="C10"/>
      <c r="D10" s="21"/>
      <c r="E10"/>
    </row>
    <row r="11" spans="1:5" ht="12.75">
      <c r="A11" s="17"/>
      <c r="B11" s="8"/>
      <c r="C11"/>
      <c r="D11" s="21"/>
      <c r="E11"/>
    </row>
    <row r="12" spans="1:5" ht="12.75">
      <c r="A12" s="17"/>
      <c r="B12" s="8"/>
      <c r="C12"/>
      <c r="D12" s="21"/>
      <c r="E12"/>
    </row>
    <row r="13" spans="2:5" ht="12.75">
      <c r="B13" s="8"/>
      <c r="C13" s="8"/>
      <c r="D13" s="8"/>
      <c r="E13" s="8"/>
    </row>
    <row r="14" spans="1:5" ht="12.75">
      <c r="A14" s="17" t="s">
        <v>4</v>
      </c>
      <c r="B14" s="14">
        <v>1</v>
      </c>
      <c r="C14" s="9">
        <f>zfwgt+maxgal*ppg</f>
        <v>2504.8</v>
      </c>
      <c r="D14" s="9">
        <f>E14/C14</f>
        <v>87.49404503353561</v>
      </c>
      <c r="E14" s="8">
        <f>zfmom+maxgal*ppg*fuel_arm</f>
        <v>219155.084</v>
      </c>
    </row>
    <row r="15" spans="1:5" ht="12.75">
      <c r="A15" s="17"/>
      <c r="B15" s="14"/>
      <c r="C15" s="8"/>
      <c r="D15" s="8"/>
      <c r="E15" s="8"/>
    </row>
    <row r="16" spans="1:5" ht="12.75">
      <c r="A16" s="17"/>
      <c r="B16" s="14" t="s">
        <v>5</v>
      </c>
      <c r="C16" s="9">
        <f>C47</f>
        <v>2504.8</v>
      </c>
      <c r="D16" s="9">
        <f>E16/C16</f>
        <v>87.49404503353561</v>
      </c>
      <c r="E16" s="8">
        <f>E47</f>
        <v>219155.084</v>
      </c>
    </row>
    <row r="17" spans="1:5" ht="12.75">
      <c r="A17" s="17"/>
      <c r="B17" s="15">
        <v>0.75</v>
      </c>
      <c r="C17" s="8">
        <f>MIN(C16,zfwgt+maxgal*ppg*B17)</f>
        <v>2429.8</v>
      </c>
      <c r="D17" s="8">
        <f>E17/C17</f>
        <v>87.26236068812247</v>
      </c>
      <c r="E17" s="8">
        <f>MIN(E16,zfmom+maxgal*ppg*fuel_arm*B17)</f>
        <v>212030.084</v>
      </c>
    </row>
    <row r="18" spans="1:5" ht="12.75">
      <c r="A18" s="17"/>
      <c r="B18" s="15">
        <v>0.5</v>
      </c>
      <c r="C18" s="8">
        <f>MIN(C17,zfwgt+maxgal*ppg*B18)</f>
        <v>2354.8</v>
      </c>
      <c r="D18" s="8">
        <f>E18/C18</f>
        <v>87.01591812468149</v>
      </c>
      <c r="E18" s="8">
        <f>MIN(E17,zfmom+maxgal*ppg*fuel_arm*B18)</f>
        <v>204905.084</v>
      </c>
    </row>
    <row r="19" spans="1:5" ht="12.75">
      <c r="A19" s="18"/>
      <c r="B19" s="15">
        <v>0.25</v>
      </c>
      <c r="C19" s="8">
        <f>MIN(C18,zfwgt+maxgal*ppg*B19)</f>
        <v>2279.8</v>
      </c>
      <c r="D19" s="8">
        <f>E19/C19</f>
        <v>86.75326081235195</v>
      </c>
      <c r="E19" s="8">
        <f>MIN(E18,zfmom+maxgal*ppg*fuel_arm*B19)</f>
        <v>197780.084</v>
      </c>
    </row>
    <row r="20" spans="1:5" ht="12.75">
      <c r="A20" s="18"/>
      <c r="B20" s="14" t="s">
        <v>6</v>
      </c>
      <c r="C20" s="8">
        <f>zfwgt+C27*ppg</f>
        <v>2214.8</v>
      </c>
      <c r="D20" s="8">
        <f>E20/C20</f>
        <v>86.51123532598879</v>
      </c>
      <c r="E20" s="8">
        <f>zfmom+C27*fuel_arm*ppg</f>
        <v>191605.084</v>
      </c>
    </row>
    <row r="21" spans="1:5" ht="12.75">
      <c r="A21" s="18"/>
      <c r="B21" s="14"/>
      <c r="C21" s="8"/>
      <c r="D21" s="8"/>
      <c r="E21" s="8"/>
    </row>
    <row r="22" spans="1:5" ht="12.75">
      <c r="A22" s="18"/>
      <c r="B22" s="16">
        <v>0</v>
      </c>
      <c r="C22">
        <f>zfwgt+maxgal*ppg*B22</f>
        <v>2204.8</v>
      </c>
      <c r="D22">
        <f>E22/C22</f>
        <v>86.47273403483308</v>
      </c>
      <c r="E22">
        <f>zfmom+maxgal*ppg*fuel_arm*B22</f>
        <v>190655.084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 t="s">
        <v>7</v>
      </c>
      <c r="C26">
        <v>50</v>
      </c>
      <c r="D26"/>
      <c r="E26"/>
    </row>
    <row r="27" spans="1:5" ht="12.75">
      <c r="A27"/>
      <c r="B27" t="s">
        <v>8</v>
      </c>
      <c r="C27">
        <f>10/6</f>
        <v>1.6666666666666667</v>
      </c>
      <c r="D27" t="s">
        <v>9</v>
      </c>
      <c r="E27">
        <v>1</v>
      </c>
    </row>
    <row r="28" spans="1:5" ht="12.75">
      <c r="A28"/>
      <c r="B28" t="s">
        <v>22</v>
      </c>
      <c r="C28">
        <v>6</v>
      </c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4" spans="1:4" ht="12.75">
      <c r="A34" s="3"/>
      <c r="D34"/>
    </row>
    <row r="35" spans="1:4" ht="12.75">
      <c r="A35" s="3"/>
      <c r="D35"/>
    </row>
    <row r="36" spans="2:5" ht="12.75" customHeight="1">
      <c r="B36" s="1" t="s">
        <v>40</v>
      </c>
      <c r="C36" s="1" t="s">
        <v>11</v>
      </c>
      <c r="D36" s="1" t="s">
        <v>12</v>
      </c>
      <c r="E36" s="1" t="s">
        <v>13</v>
      </c>
    </row>
    <row r="37" spans="5:7" ht="11.25" customHeight="1">
      <c r="E37" s="1" t="s">
        <v>45</v>
      </c>
      <c r="G37" s="25" t="s">
        <v>39</v>
      </c>
    </row>
    <row r="38" spans="1:7" ht="14.25" customHeight="1">
      <c r="A38" s="22" t="s">
        <v>14</v>
      </c>
      <c r="C38" s="19">
        <v>1639.8</v>
      </c>
      <c r="D38" s="19">
        <v>83.08</v>
      </c>
      <c r="E38" s="2">
        <f>C38*D38</f>
        <v>136234.584</v>
      </c>
      <c r="G38" s="26">
        <v>38870</v>
      </c>
    </row>
    <row r="39" spans="1:5" ht="12.75">
      <c r="A39" s="1" t="s">
        <v>15</v>
      </c>
      <c r="B39" s="7"/>
      <c r="C39" s="19">
        <f>C38-IF(fuel_inc,unusable*ppg,0)</f>
        <v>1629.8</v>
      </c>
      <c r="D39" s="19"/>
      <c r="E39" s="2"/>
    </row>
    <row r="40" spans="1:5" ht="12.75" hidden="1">
      <c r="A40" s="1" t="s">
        <v>36</v>
      </c>
      <c r="B40" s="7"/>
      <c r="C40" s="2">
        <f>B40*1.875</f>
        <v>0</v>
      </c>
      <c r="D40" s="19">
        <v>24.5</v>
      </c>
      <c r="E40" s="2">
        <f>C40*D40</f>
        <v>0</v>
      </c>
    </row>
    <row r="41" spans="1:10" ht="12.75">
      <c r="A41" s="1" t="s">
        <v>16</v>
      </c>
      <c r="C41" s="4">
        <v>340</v>
      </c>
      <c r="D41" s="19">
        <v>80.5</v>
      </c>
      <c r="E41" s="2">
        <f>C41*D41</f>
        <v>27370</v>
      </c>
      <c r="I41" s="4"/>
      <c r="J41" s="6"/>
    </row>
    <row r="42" spans="1:5" ht="12.75">
      <c r="A42" s="1" t="s">
        <v>25</v>
      </c>
      <c r="C42" s="4">
        <v>225</v>
      </c>
      <c r="D42" s="19">
        <v>118.1</v>
      </c>
      <c r="E42" s="2">
        <f>C42*D42</f>
        <v>26572.5</v>
      </c>
    </row>
    <row r="43" spans="1:5" ht="12.75">
      <c r="A43" s="1" t="s">
        <v>37</v>
      </c>
      <c r="C43" s="4">
        <v>10</v>
      </c>
      <c r="D43" s="19">
        <v>142.8</v>
      </c>
      <c r="E43" s="2">
        <f>C43*D43</f>
        <v>1428</v>
      </c>
    </row>
    <row r="44" spans="1:5" ht="12.75">
      <c r="A44" s="1" t="s">
        <v>38</v>
      </c>
      <c r="B44" s="5">
        <v>50</v>
      </c>
      <c r="C44" s="2">
        <f>B44*6</f>
        <v>300</v>
      </c>
      <c r="D44" s="19">
        <v>95</v>
      </c>
      <c r="E44" s="2">
        <f>C44*D44</f>
        <v>28500</v>
      </c>
    </row>
    <row r="45" spans="1:5" ht="12.75">
      <c r="A45"/>
      <c r="B45"/>
      <c r="C45"/>
      <c r="D45" s="13"/>
      <c r="E45" s="21"/>
    </row>
    <row r="46" spans="3:5" ht="3" customHeight="1">
      <c r="C46" s="2"/>
      <c r="D46" s="19"/>
      <c r="E46" s="2"/>
    </row>
    <row r="47" spans="1:5" ht="12.75">
      <c r="A47" s="1" t="s">
        <v>29</v>
      </c>
      <c r="C47" s="2">
        <f>SUM(C39:C45)</f>
        <v>2504.8</v>
      </c>
      <c r="D47" s="19">
        <f>E47/C47</f>
        <v>87.49404503353561</v>
      </c>
      <c r="E47" s="2">
        <f>SUM(E38:E45)-IF(fuel_inc,unusable*ppg*fuel_arm,0)</f>
        <v>219155.084</v>
      </c>
    </row>
    <row r="48" spans="1:5" ht="12.75">
      <c r="A48" s="1" t="s">
        <v>21</v>
      </c>
      <c r="C48" s="2">
        <f>C47-C44</f>
        <v>2204.8</v>
      </c>
      <c r="D48" s="19">
        <f>E48/C48</f>
        <v>86.47273403483308</v>
      </c>
      <c r="E48" s="1">
        <f>E47-E44</f>
        <v>190655.084</v>
      </c>
    </row>
    <row r="49" spans="1:5" ht="12.75">
      <c r="A49" s="1" t="s">
        <v>41</v>
      </c>
      <c r="B49"/>
      <c r="C49" s="21">
        <v>2609.8</v>
      </c>
      <c r="D49"/>
      <c r="E49"/>
    </row>
    <row r="50" spans="1:3" ht="12.75">
      <c r="A50" s="1" t="s">
        <v>42</v>
      </c>
      <c r="C50" s="1">
        <v>1010.2</v>
      </c>
    </row>
    <row r="51" ht="12.75">
      <c r="A51" s="10" t="str">
        <f>'N93KK'!A51</f>
        <v>Warning:  Use according to instructions.  Misuse could create a hazard.</v>
      </c>
    </row>
    <row r="52" ht="12.75">
      <c r="A52" s="10" t="str">
        <f>'N93KK'!A52</f>
        <v>Instructions:  First calculate weight and balance according to procedures in your operating handbook.</v>
      </c>
    </row>
    <row r="53" ht="12.75">
      <c r="A53" s="10" t="str">
        <f>'N93KK'!A53</f>
        <v>Then fill in the fields of this form with information appropriate to your aircraft.  </v>
      </c>
    </row>
    <row r="54" ht="12.75">
      <c r="A54" s="10" t="str">
        <f>'N93KK'!A54</f>
        <v>Check to see if this form helps confirm and visualize the results of your calculation.</v>
      </c>
    </row>
    <row r="55" ht="12.75">
      <c r="A55" s="22" t="str">
        <f>'N93KK'!A55</f>
        <v>All fuel numbers measured relative to absolute zero, not zero usable.</v>
      </c>
    </row>
    <row r="56" ht="12.75">
      <c r="A56" s="22"/>
    </row>
  </sheetData>
  <printOptions/>
  <pageMargins left="1.31" right="0.5" top="0.49" bottom="0.74" header="0.21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weight &amp; balance data</dc:title>
  <dc:subject/>
  <dc:creator/>
  <cp:keywords/>
  <dc:description/>
  <cp:lastModifiedBy>EdC</cp:lastModifiedBy>
  <cp:lastPrinted>2007-04-09T13:26:09Z</cp:lastPrinted>
  <dcterms:created xsi:type="dcterms:W3CDTF">1996-10-29T19:25:40Z</dcterms:created>
  <dcterms:modified xsi:type="dcterms:W3CDTF">2007-04-11T12:21:06Z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